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DG1\Dm_nieuw\04 Databankbeheer (J.L.)\04.05 Info ziekenhuizen\Programmatie\Programmatie 2021\"/>
    </mc:Choice>
  </mc:AlternateContent>
  <xr:revisionPtr revIDLastSave="0" documentId="13_ncr:1_{D32A4A80-C1E9-455B-9A53-29EA01813B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grammatie 2021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G34" i="1"/>
  <c r="D34" i="1"/>
  <c r="M33" i="1"/>
  <c r="M32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Baele Anja</author>
  </authors>
  <commentList>
    <comment ref="J17" authorId="0" shapeId="0" xr:uid="{4EFF5DE2-EE29-45CD-B25F-015400819A65}">
      <text>
        <r>
          <rPr>
            <b/>
            <sz val="9"/>
            <color indexed="81"/>
            <rFont val="Tahoma"/>
            <charset val="1"/>
          </rPr>
          <t xml:space="preserve">Baele Anja: Vanaf 18/02/2020 zijn 15 E- bedden in CHU A. Vésale (A/325) tijdelijk buiten gebruik gesteld, de 15 E- bedden blijven erkend en opgenomen in de programmatie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<sst xmlns="http://schemas.openxmlformats.org/spreadsheetml/2006/main" count="80" uniqueCount="67">
  <si>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</si>
  <si>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</si>
  <si>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</si>
  <si>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</si>
  <si>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</si>
  <si>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</si>
  <si>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</si>
  <si>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</si>
  <si>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</si>
  <si>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</si>
  <si>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</si>
  <si>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</si>
  <si>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</si>
  <si>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</si>
  <si>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</si>
  <si>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</si>
  <si>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</si>
  <si>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</si>
  <si>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</si>
  <si>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</si>
  <si>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</si>
  <si>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</si>
  <si>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</si>
  <si>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</si>
  <si>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</si>
  <si>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</si>
  <si>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</si>
  <si>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</si>
  <si>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</si>
  <si>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</si>
  <si>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</si>
  <si>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</si>
  <si>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</si>
  <si>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</si>
  <si>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</si>
  <si>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</si>
  <si>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</si>
  <si>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</si>
  <si>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</si>
  <si>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</si>
  <si>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</si>
  <si>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</si>
  <si>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</si>
  <si>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</si>
  <si>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</si>
  <si>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</si>
  <si>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</si>
  <si>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</si>
  <si>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</si>
  <si>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</si>
  <si>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</si>
  <si>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</si>
  <si>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</si>
  <si>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</si>
  <si>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</si>
  <si>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</si>
  <si>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</si>
  <si>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</si>
  <si>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</si>
  <si>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</si>
  <si>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</si>
  <si>
    <t>STATBEL 01/01/2019 - 31/12/2019</t>
  </si>
  <si>
    <t>Erkende bedden en/of plaatsen 01/06/2021</t>
  </si>
  <si>
    <t>Lits et/ou de places agréés  01/06/2021</t>
  </si>
  <si>
    <t>Lits et/ou de places agréés 01/06/2021</t>
  </si>
  <si>
    <t>Laatste bijwerking - dernière mise à jour: 17/06/2021</t>
  </si>
  <si>
    <t>STATBEL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</si>
</sst>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4" fontId="8" fillId="4" borderId="0" xfId="0" applyNumberFormat="1" applyFont="1" applyFill="1" applyBorder="1"/>
    <xf numFmtId="0" fontId="3" fillId="4" borderId="0" xfId="0" applyFont="1" applyFill="1" applyBorder="1"/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selection activeCell="B8" sqref="B8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10</v>
      </c>
      <c r="B1" s="69"/>
      <c r="C1" s="80" t="s">
        <v>11</v>
      </c>
      <c r="D1" s="81"/>
      <c r="E1" s="82"/>
      <c r="F1" s="83" t="s">
        <v>12</v>
      </c>
      <c r="G1" s="84"/>
      <c r="H1" s="84"/>
      <c r="I1" s="83" t="s">
        <v>13</v>
      </c>
      <c r="J1" s="84"/>
      <c r="K1" s="84"/>
      <c r="L1" s="83" t="s">
        <v>14</v>
      </c>
      <c r="M1" s="83"/>
      <c r="N1" s="83"/>
    </row>
    <row r="2" spans="1:14" ht="36.6" thickTop="1" x14ac:dyDescent="0.3">
      <c r="A2" s="60"/>
      <c r="B2" s="61"/>
      <c r="C2" s="70" t="s">
        <v>39</v>
      </c>
      <c r="D2" s="71" t="s">
        <v>62</v>
      </c>
      <c r="E2" s="71" t="s">
        <v>40</v>
      </c>
      <c r="F2" s="70" t="s">
        <v>39</v>
      </c>
      <c r="G2" s="71" t="s">
        <v>62</v>
      </c>
      <c r="H2" s="71" t="s">
        <v>41</v>
      </c>
      <c r="I2" s="70" t="s">
        <v>39</v>
      </c>
      <c r="J2" s="71" t="s">
        <v>62</v>
      </c>
      <c r="K2" s="72" t="s">
        <v>42</v>
      </c>
      <c r="L2" s="70" t="s">
        <v>39</v>
      </c>
      <c r="M2" s="71" t="s">
        <v>62</v>
      </c>
      <c r="N2" s="77" t="s">
        <v>50</v>
      </c>
    </row>
    <row r="3" spans="1:14" ht="37.200000000000003" thickBot="1" x14ac:dyDescent="0.35">
      <c r="A3" s="62"/>
      <c r="B3" s="63"/>
      <c r="C3" s="73" t="s">
        <v>43</v>
      </c>
      <c r="D3" s="74" t="s">
        <v>63</v>
      </c>
      <c r="E3" s="74" t="s">
        <v>44</v>
      </c>
      <c r="F3" s="73" t="s">
        <v>43</v>
      </c>
      <c r="G3" s="74" t="s">
        <v>63</v>
      </c>
      <c r="H3" s="74" t="s">
        <v>48</v>
      </c>
      <c r="I3" s="73" t="s">
        <v>43</v>
      </c>
      <c r="J3" s="74" t="s">
        <v>63</v>
      </c>
      <c r="K3" s="75" t="s">
        <v>45</v>
      </c>
      <c r="L3" s="73" t="s">
        <v>43</v>
      </c>
      <c r="M3" s="74" t="s">
        <v>64</v>
      </c>
      <c r="N3" s="76" t="s">
        <v>51</v>
      </c>
    </row>
    <row r="4" spans="1:14" ht="15" thickTop="1" x14ac:dyDescent="0.3">
      <c r="A4" s="18" t="s">
        <v>15</v>
      </c>
      <c r="B4" s="19" t="s">
        <v>66</v>
      </c>
      <c r="C4" s="64">
        <v>6653062</v>
      </c>
      <c r="D4" s="20"/>
      <c r="E4" s="20"/>
      <c r="F4" s="65">
        <v>1219970</v>
      </c>
      <c r="G4" s="20"/>
      <c r="H4" s="20"/>
      <c r="I4" s="65">
        <v>3648206</v>
      </c>
      <c r="J4" s="20"/>
      <c r="K4" s="20"/>
      <c r="L4" s="21">
        <f>SUM(C4,F4,I4)</f>
        <v>11521238</v>
      </c>
      <c r="M4" s="22"/>
      <c r="N4" s="23"/>
    </row>
    <row r="5" spans="1:14" x14ac:dyDescent="0.3">
      <c r="A5" s="24" t="s">
        <v>16</v>
      </c>
      <c r="B5" s="25" t="s">
        <v>66</v>
      </c>
      <c r="C5" s="66">
        <v>1376558</v>
      </c>
      <c r="D5" s="26"/>
      <c r="E5" s="26"/>
      <c r="F5" s="66">
        <v>159026</v>
      </c>
      <c r="G5" s="26"/>
      <c r="H5" s="26"/>
      <c r="I5" s="67">
        <v>693537</v>
      </c>
      <c r="J5" s="26"/>
      <c r="K5" s="26"/>
      <c r="L5" s="27">
        <f>SUM(C5,F5,I5)</f>
        <v>2229121</v>
      </c>
      <c r="M5" s="28"/>
      <c r="N5" s="29"/>
    </row>
    <row r="6" spans="1:14" x14ac:dyDescent="0.3">
      <c r="A6" s="24" t="s">
        <v>17</v>
      </c>
      <c r="B6" s="25" t="s">
        <v>61</v>
      </c>
      <c r="C6" s="66">
        <v>63721</v>
      </c>
      <c r="D6" s="26"/>
      <c r="E6" s="26"/>
      <c r="F6" s="66">
        <v>16854</v>
      </c>
      <c r="G6" s="26"/>
      <c r="H6" s="26"/>
      <c r="I6" s="67">
        <v>36528</v>
      </c>
      <c r="J6" s="26"/>
      <c r="K6" s="26"/>
      <c r="L6" s="27">
        <f>SUM(C6,F6,I6)</f>
        <v>117103</v>
      </c>
      <c r="M6" s="28"/>
      <c r="N6" s="29"/>
    </row>
    <row r="7" spans="1:14" x14ac:dyDescent="0.3">
      <c r="A7" s="24" t="s">
        <v>18</v>
      </c>
      <c r="B7" s="25" t="s">
        <v>66</v>
      </c>
      <c r="C7" s="66">
        <v>1076956</v>
      </c>
      <c r="D7" s="26"/>
      <c r="E7" s="26"/>
      <c r="F7" s="67">
        <v>234982</v>
      </c>
      <c r="G7" s="26"/>
      <c r="H7" s="26"/>
      <c r="I7" s="67">
        <v>616753</v>
      </c>
      <c r="J7" s="26"/>
      <c r="K7" s="26"/>
      <c r="L7" s="27">
        <f>SUM(C7,F7,I7)</f>
        <v>1928691</v>
      </c>
      <c r="M7" s="26"/>
      <c r="N7" s="29"/>
    </row>
    <row r="8" spans="1:14" ht="15" thickBot="1" x14ac:dyDescent="0.35"/>
    <row r="9" spans="1:14" ht="15.6" thickTop="1" thickBot="1" x14ac:dyDescent="0.35">
      <c r="A9" s="88" t="s">
        <v>46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4.6" thickTop="1" x14ac:dyDescent="0.3">
      <c r="A10" s="18" t="s">
        <v>0</v>
      </c>
      <c r="B10" s="30" t="s">
        <v>20</v>
      </c>
      <c r="C10" s="31">
        <f>(2.9/1000)*C4</f>
        <v>19293.879799999999</v>
      </c>
      <c r="D10" s="32">
        <v>15556</v>
      </c>
      <c r="E10" s="33">
        <f>ABS(C10-D10)</f>
        <v>3737.8797999999988</v>
      </c>
      <c r="F10" s="34">
        <f>(F4*2.9)/1000</f>
        <v>3537.913</v>
      </c>
      <c r="G10" s="32">
        <v>3826</v>
      </c>
      <c r="H10" s="33">
        <f t="shared" ref="H10:H18" si="0">ABS(F10-G10)</f>
        <v>288.08699999999999</v>
      </c>
      <c r="I10" s="34">
        <f>(2.9*I4)/1000</f>
        <v>10579.797399999999</v>
      </c>
      <c r="J10" s="32">
        <v>8941</v>
      </c>
      <c r="K10" s="33">
        <f>ABS(I10-J10)</f>
        <v>1638.7973999999995</v>
      </c>
      <c r="L10" s="35">
        <f>SUM(C10,F10,I10)</f>
        <v>33411.590199999999</v>
      </c>
      <c r="M10" s="32">
        <f>SUM(D10,G10,J10)</f>
        <v>28323</v>
      </c>
      <c r="N10" s="33">
        <f>ABS(L10-M10)</f>
        <v>5088.5901999999987</v>
      </c>
    </row>
    <row r="11" spans="1:14" ht="24" x14ac:dyDescent="0.3">
      <c r="A11" s="24" t="s">
        <v>9</v>
      </c>
      <c r="B11" s="36" t="s">
        <v>21</v>
      </c>
      <c r="C11" s="37">
        <f>(C4*0.03)/1000</f>
        <v>199.59186</v>
      </c>
      <c r="D11" s="38">
        <v>8</v>
      </c>
      <c r="E11" s="39">
        <f>ABS(C11-D11)</f>
        <v>191.59186</v>
      </c>
      <c r="F11" s="40">
        <f>(F4*0.03)/1000</f>
        <v>36.5991</v>
      </c>
      <c r="G11" s="38">
        <v>40</v>
      </c>
      <c r="H11" s="39">
        <f t="shared" si="0"/>
        <v>3.4009</v>
      </c>
      <c r="I11" s="40">
        <f>(0.03*I4)/1000</f>
        <v>109.44618</v>
      </c>
      <c r="J11" s="38">
        <v>0</v>
      </c>
      <c r="K11" s="39">
        <f>ABS(I11-J11)</f>
        <v>109.44618</v>
      </c>
      <c r="L11" s="41">
        <f>SUM(C11,F11,I11)</f>
        <v>345.63713999999999</v>
      </c>
      <c r="M11" s="38">
        <f>SUM(D11,G11,J11)</f>
        <v>48</v>
      </c>
      <c r="N11" s="39">
        <f>ABS(L11-M11)</f>
        <v>297.63713999999999</v>
      </c>
    </row>
    <row r="12" spans="1:14" ht="24" x14ac:dyDescent="0.3">
      <c r="A12" s="42" t="s">
        <v>19</v>
      </c>
      <c r="B12" s="43" t="s">
        <v>22</v>
      </c>
      <c r="C12" s="44">
        <f>(0.52*C4)/1000</f>
        <v>3459.5922400000004</v>
      </c>
      <c r="D12" s="38">
        <v>2463</v>
      </c>
      <c r="E12" s="39">
        <f>(ABS(C12-D12))-D13</f>
        <v>118.5922400000004</v>
      </c>
      <c r="F12" s="40">
        <f>(F4*0.52)/1000</f>
        <v>634.38440000000003</v>
      </c>
      <c r="G12" s="38">
        <v>803</v>
      </c>
      <c r="H12" s="39">
        <f t="shared" si="0"/>
        <v>168.61559999999997</v>
      </c>
      <c r="I12" s="40">
        <f>(I4*0.52)/1000</f>
        <v>1897.0671200000002</v>
      </c>
      <c r="J12" s="38">
        <v>1843</v>
      </c>
      <c r="K12" s="39">
        <f>ABS(I12-J12)</f>
        <v>54.067120000000159</v>
      </c>
      <c r="L12" s="41">
        <f>SUM(C12,F12,I12)</f>
        <v>5991.0437600000005</v>
      </c>
      <c r="M12" s="38">
        <f>(SUM(D12,G12,J12))+D13</f>
        <v>5987</v>
      </c>
      <c r="N12" s="39">
        <f>ABS(L12-M12)</f>
        <v>4.043760000000475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49</v>
      </c>
      <c r="C14" s="48">
        <f>(6*C5)/1000</f>
        <v>8259.348</v>
      </c>
      <c r="D14" s="38">
        <v>4532</v>
      </c>
      <c r="E14" s="39">
        <f>(ABS(C14-D14))-D15</f>
        <v>3675.348</v>
      </c>
      <c r="F14" s="48">
        <f>(6*F5)/1000</f>
        <v>954.15599999999995</v>
      </c>
      <c r="G14" s="38">
        <v>1033</v>
      </c>
      <c r="H14" s="39">
        <f t="shared" si="0"/>
        <v>78.844000000000051</v>
      </c>
      <c r="I14" s="48">
        <f>(6*I5)/1000</f>
        <v>4161.2219999999998</v>
      </c>
      <c r="J14" s="38">
        <v>2393</v>
      </c>
      <c r="K14" s="39">
        <f>ABS(I14-J14)</f>
        <v>1768.2219999999998</v>
      </c>
      <c r="L14" s="41">
        <f>SUM(C14,F14,I14)</f>
        <v>13374.726000000001</v>
      </c>
      <c r="M14" s="38">
        <f>(SUM(D14,G14,J14))+D15</f>
        <v>8010</v>
      </c>
      <c r="N14" s="39">
        <f>ABS(L14-M14)</f>
        <v>5364.7260000000006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23</v>
      </c>
      <c r="C16" s="48">
        <f>(32*C6)/1000</f>
        <v>2039.0719999999999</v>
      </c>
      <c r="D16" s="38">
        <v>1670</v>
      </c>
      <c r="E16" s="39">
        <f>ABS(C16-D16)</f>
        <v>369.07199999999989</v>
      </c>
      <c r="F16" s="48">
        <f>(32*F6)/1000</f>
        <v>539.32799999999997</v>
      </c>
      <c r="G16" s="38">
        <v>418</v>
      </c>
      <c r="H16" s="39">
        <f t="shared" si="0"/>
        <v>121.32799999999997</v>
      </c>
      <c r="I16" s="48">
        <f>(32*I6)/1000</f>
        <v>1168.896</v>
      </c>
      <c r="J16" s="38">
        <v>886</v>
      </c>
      <c r="K16" s="39">
        <f>ABS(I16-J16)</f>
        <v>282.89599999999996</v>
      </c>
      <c r="L16" s="41">
        <f t="shared" ref="L16:M18" si="1">SUM(C16,F16,I16)</f>
        <v>3747.2959999999994</v>
      </c>
      <c r="M16" s="38">
        <f t="shared" si="1"/>
        <v>2974</v>
      </c>
      <c r="N16" s="39">
        <f>ABS(L16-M16)</f>
        <v>773.29599999999937</v>
      </c>
    </row>
    <row r="17" spans="1:14" ht="27.6" customHeight="1" x14ac:dyDescent="0.3">
      <c r="A17" s="24" t="s">
        <v>3</v>
      </c>
      <c r="B17" s="36" t="s">
        <v>24</v>
      </c>
      <c r="C17" s="48">
        <f>(37*C6)/1000</f>
        <v>2357.6770000000001</v>
      </c>
      <c r="D17" s="38">
        <v>1440</v>
      </c>
      <c r="E17" s="39">
        <f>ABS(C17-D17)</f>
        <v>917.67700000000013</v>
      </c>
      <c r="F17" s="48">
        <f>(37*F6)/1000</f>
        <v>623.59799999999996</v>
      </c>
      <c r="G17" s="38">
        <v>386</v>
      </c>
      <c r="H17" s="39">
        <f t="shared" si="0"/>
        <v>237.59799999999996</v>
      </c>
      <c r="I17" s="48">
        <f>(37*I6)/1000</f>
        <v>1351.5360000000001</v>
      </c>
      <c r="J17" s="38">
        <v>746</v>
      </c>
      <c r="K17" s="39">
        <f>ABS(I17-J17)</f>
        <v>605.53600000000006</v>
      </c>
      <c r="L17" s="41">
        <f t="shared" si="1"/>
        <v>4332.8109999999997</v>
      </c>
      <c r="M17" s="38">
        <f t="shared" si="1"/>
        <v>2572</v>
      </c>
      <c r="N17" s="39">
        <f>ABS(L17-M17)</f>
        <v>1760.8109999999997</v>
      </c>
    </row>
    <row r="18" spans="1:14" ht="24" x14ac:dyDescent="0.3">
      <c r="A18" s="24" t="s">
        <v>4</v>
      </c>
      <c r="B18" s="36" t="s">
        <v>25</v>
      </c>
      <c r="C18" s="48">
        <f>(6*C6)/1000</f>
        <v>382.32600000000002</v>
      </c>
      <c r="D18" s="38">
        <v>148</v>
      </c>
      <c r="E18" s="39">
        <f>ABS(C18-D18)</f>
        <v>234.32600000000002</v>
      </c>
      <c r="F18" s="48">
        <f>(6*F6)/1000</f>
        <v>101.124</v>
      </c>
      <c r="G18" s="38">
        <v>109</v>
      </c>
      <c r="H18" s="39">
        <f t="shared" si="0"/>
        <v>7.8760000000000048</v>
      </c>
      <c r="I18" s="48">
        <f>(6*I6)/1000</f>
        <v>219.16800000000001</v>
      </c>
      <c r="J18" s="38">
        <v>123</v>
      </c>
      <c r="K18" s="39">
        <f>ABS(I18-J18)</f>
        <v>96.168000000000006</v>
      </c>
      <c r="L18" s="41">
        <f t="shared" si="1"/>
        <v>702.61800000000005</v>
      </c>
      <c r="M18" s="38">
        <f t="shared" si="1"/>
        <v>380</v>
      </c>
      <c r="N18" s="39">
        <f>ABS(L18-M18)</f>
        <v>322.61800000000005</v>
      </c>
    </row>
    <row r="19" spans="1:14" ht="26.4" customHeight="1" x14ac:dyDescent="0.3">
      <c r="A19" s="87" t="s">
        <v>26</v>
      </c>
      <c r="B19" s="87"/>
      <c r="C19" s="24"/>
      <c r="D19" s="50">
        <f>SUM(D10:D18)</f>
        <v>26747</v>
      </c>
      <c r="E19" s="51"/>
      <c r="F19" s="52"/>
      <c r="G19" s="50">
        <f>SUM(G10:G18)</f>
        <v>6615</v>
      </c>
      <c r="H19" s="39"/>
      <c r="I19" s="52"/>
      <c r="J19" s="50">
        <f>SUM(J10:J18)</f>
        <v>14932</v>
      </c>
      <c r="K19" s="27"/>
      <c r="L19" s="41"/>
      <c r="M19" s="50">
        <f>SUM(D19,G19,J19)</f>
        <v>48294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88" t="s">
        <v>47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</row>
    <row r="22" spans="1:14" ht="24.6" thickTop="1" x14ac:dyDescent="0.3">
      <c r="A22" s="53" t="s">
        <v>55</v>
      </c>
      <c r="B22" s="30" t="s">
        <v>27</v>
      </c>
      <c r="C22" s="34">
        <f>(0.27*C4)/1000</f>
        <v>1796.3267400000002</v>
      </c>
      <c r="D22" s="32">
        <v>1485</v>
      </c>
      <c r="E22" s="33">
        <f t="shared" ref="E22:E29" si="2">ABS(C22-D22)</f>
        <v>311.3267400000002</v>
      </c>
      <c r="F22" s="34">
        <f>(0.27*F4)/1000</f>
        <v>329.39190000000002</v>
      </c>
      <c r="G22" s="32">
        <v>525</v>
      </c>
      <c r="H22" s="33">
        <f t="shared" ref="H22:H30" si="3">ABS(F22-G22)</f>
        <v>195.60809999999998</v>
      </c>
      <c r="I22" s="34">
        <f>(0.27*I4)/1000</f>
        <v>985.01562000000013</v>
      </c>
      <c r="J22" s="32">
        <v>849</v>
      </c>
      <c r="K22" s="33">
        <f t="shared" ref="K22:K30" si="4">ABS(I22-J22)</f>
        <v>136.01562000000013</v>
      </c>
      <c r="L22" s="35">
        <f t="shared" ref="L22:M29" si="5">SUM(C22,F22,I22)</f>
        <v>3110.7342600000002</v>
      </c>
      <c r="M22" s="32">
        <f t="shared" si="5"/>
        <v>2859</v>
      </c>
      <c r="N22" s="33">
        <f t="shared" ref="N22:N30" si="6">ABS(L22-M22)</f>
        <v>251.73426000000018</v>
      </c>
    </row>
    <row r="23" spans="1:14" ht="24" x14ac:dyDescent="0.3">
      <c r="A23" s="54" t="s">
        <v>54</v>
      </c>
      <c r="B23" s="36" t="s">
        <v>28</v>
      </c>
      <c r="C23" s="40">
        <f>(0.075*C4)/1000</f>
        <v>498.97964999999999</v>
      </c>
      <c r="D23" s="38">
        <v>286</v>
      </c>
      <c r="E23" s="39">
        <f t="shared" si="2"/>
        <v>212.97964999999999</v>
      </c>
      <c r="F23" s="40">
        <f>(0.075*F4)/1000</f>
        <v>91.497749999999996</v>
      </c>
      <c r="G23" s="38">
        <v>125</v>
      </c>
      <c r="H23" s="39">
        <f t="shared" si="3"/>
        <v>33.502250000000004</v>
      </c>
      <c r="I23" s="40">
        <f>(0.075*I4)/1000</f>
        <v>273.61545000000001</v>
      </c>
      <c r="J23" s="38">
        <v>163</v>
      </c>
      <c r="K23" s="39">
        <f t="shared" si="4"/>
        <v>110.61545000000001</v>
      </c>
      <c r="L23" s="41">
        <f t="shared" si="5"/>
        <v>864.09285</v>
      </c>
      <c r="M23" s="38">
        <f t="shared" si="5"/>
        <v>574</v>
      </c>
      <c r="N23" s="39">
        <f t="shared" si="6"/>
        <v>290.09285</v>
      </c>
    </row>
    <row r="24" spans="1:14" ht="24" x14ac:dyDescent="0.3">
      <c r="A24" s="24" t="s">
        <v>56</v>
      </c>
      <c r="B24" s="36" t="s">
        <v>29</v>
      </c>
      <c r="C24" s="40">
        <f>(0.5*C4)/1000</f>
        <v>3326.5309999999999</v>
      </c>
      <c r="D24" s="38">
        <v>3057</v>
      </c>
      <c r="E24" s="39">
        <f t="shared" si="2"/>
        <v>269.53099999999995</v>
      </c>
      <c r="F24" s="40">
        <f>(0.5*F4)/1000</f>
        <v>609.98500000000001</v>
      </c>
      <c r="G24" s="38">
        <v>297</v>
      </c>
      <c r="H24" s="39">
        <f t="shared" si="3"/>
        <v>312.98500000000001</v>
      </c>
      <c r="I24" s="40">
        <f>(0.5*I4)/1000</f>
        <v>1824.1030000000001</v>
      </c>
      <c r="J24" s="38">
        <v>1722</v>
      </c>
      <c r="K24" s="39">
        <f t="shared" si="4"/>
        <v>102.10300000000007</v>
      </c>
      <c r="L24" s="41">
        <f t="shared" si="5"/>
        <v>5760.6190000000006</v>
      </c>
      <c r="M24" s="38">
        <f t="shared" si="5"/>
        <v>5076</v>
      </c>
      <c r="N24" s="39">
        <f t="shared" si="6"/>
        <v>684.6190000000006</v>
      </c>
    </row>
    <row r="25" spans="1:14" ht="24" x14ac:dyDescent="0.3">
      <c r="A25" s="24" t="s">
        <v>57</v>
      </c>
      <c r="B25" s="36" t="s">
        <v>30</v>
      </c>
      <c r="C25" s="40">
        <f>(0.15*C4)/1000</f>
        <v>997.95929999999998</v>
      </c>
      <c r="D25" s="38">
        <v>661</v>
      </c>
      <c r="E25" s="39">
        <f t="shared" si="2"/>
        <v>336.95929999999998</v>
      </c>
      <c r="F25" s="40">
        <f>(0.15*F4)/1000</f>
        <v>182.99549999999999</v>
      </c>
      <c r="G25" s="38">
        <v>82</v>
      </c>
      <c r="H25" s="39">
        <f t="shared" si="3"/>
        <v>100.99549999999999</v>
      </c>
      <c r="I25" s="40">
        <f>(0.15*I4)/1000</f>
        <v>547.23090000000002</v>
      </c>
      <c r="J25" s="38">
        <v>268</v>
      </c>
      <c r="K25" s="39">
        <f t="shared" si="4"/>
        <v>279.23090000000002</v>
      </c>
      <c r="L25" s="41">
        <f t="shared" si="5"/>
        <v>1728.1857</v>
      </c>
      <c r="M25" s="38">
        <f t="shared" si="5"/>
        <v>1011</v>
      </c>
      <c r="N25" s="39">
        <f t="shared" si="6"/>
        <v>717.1857</v>
      </c>
    </row>
    <row r="26" spans="1:14" ht="24" x14ac:dyDescent="0.3">
      <c r="A26" s="24" t="s">
        <v>58</v>
      </c>
      <c r="B26" s="36" t="s">
        <v>31</v>
      </c>
      <c r="C26" s="48">
        <f>(0.32*C7)/1000</f>
        <v>344.62592000000001</v>
      </c>
      <c r="D26" s="38">
        <v>371</v>
      </c>
      <c r="E26" s="39">
        <f t="shared" si="2"/>
        <v>26.374079999999992</v>
      </c>
      <c r="F26" s="48">
        <f>(0.32*F7)/1000</f>
        <v>75.194240000000008</v>
      </c>
      <c r="G26" s="38">
        <v>125</v>
      </c>
      <c r="H26" s="39">
        <f t="shared" si="3"/>
        <v>49.805759999999992</v>
      </c>
      <c r="I26" s="48">
        <f>(0.32*I7)/1000</f>
        <v>197.36096000000001</v>
      </c>
      <c r="J26" s="38">
        <v>215</v>
      </c>
      <c r="K26" s="39">
        <f t="shared" si="4"/>
        <v>17.639039999999994</v>
      </c>
      <c r="L26" s="41">
        <f t="shared" si="5"/>
        <v>617.18111999999996</v>
      </c>
      <c r="M26" s="38">
        <f t="shared" si="5"/>
        <v>711</v>
      </c>
      <c r="N26" s="55">
        <f t="shared" si="6"/>
        <v>93.818880000000036</v>
      </c>
    </row>
    <row r="27" spans="1:14" ht="35.4" x14ac:dyDescent="0.3">
      <c r="A27" s="24" t="s">
        <v>59</v>
      </c>
      <c r="B27" s="36" t="s">
        <v>32</v>
      </c>
      <c r="C27" s="48">
        <f>(0.32*C7)/1000</f>
        <v>344.62592000000001</v>
      </c>
      <c r="D27" s="38">
        <v>307</v>
      </c>
      <c r="E27" s="39">
        <f t="shared" si="2"/>
        <v>37.625920000000008</v>
      </c>
      <c r="F27" s="48">
        <f>(0.32*F7)/1000</f>
        <v>75.194240000000008</v>
      </c>
      <c r="G27" s="38">
        <v>129</v>
      </c>
      <c r="H27" s="39">
        <f t="shared" si="3"/>
        <v>53.805759999999992</v>
      </c>
      <c r="I27" s="48">
        <f>(0.32*I7)/1000</f>
        <v>197.36096000000001</v>
      </c>
      <c r="J27" s="38">
        <v>176</v>
      </c>
      <c r="K27" s="39">
        <f t="shared" si="4"/>
        <v>21.360960000000006</v>
      </c>
      <c r="L27" s="41">
        <f t="shared" si="5"/>
        <v>617.18111999999996</v>
      </c>
      <c r="M27" s="38">
        <f t="shared" si="5"/>
        <v>612</v>
      </c>
      <c r="N27" s="39">
        <f t="shared" si="6"/>
        <v>5.1811199999999644</v>
      </c>
    </row>
    <row r="28" spans="1:14" ht="24" x14ac:dyDescent="0.3">
      <c r="A28" s="24" t="s">
        <v>5</v>
      </c>
      <c r="B28" s="36" t="s">
        <v>33</v>
      </c>
      <c r="C28" s="40">
        <f>(0.9*C4)/1000</f>
        <v>5987.7557999999999</v>
      </c>
      <c r="D28" s="38">
        <v>3329</v>
      </c>
      <c r="E28" s="39">
        <f t="shared" si="2"/>
        <v>2658.7557999999999</v>
      </c>
      <c r="F28" s="40">
        <f>(0.9*F4)/1000</f>
        <v>1097.973</v>
      </c>
      <c r="G28" s="38">
        <v>274</v>
      </c>
      <c r="H28" s="39">
        <f t="shared" si="3"/>
        <v>823.97299999999996</v>
      </c>
      <c r="I28" s="40">
        <f>(0.9*I4)/1000</f>
        <v>3283.3854000000001</v>
      </c>
      <c r="J28" s="38">
        <v>1470</v>
      </c>
      <c r="K28" s="39">
        <f t="shared" si="4"/>
        <v>1813.3854000000001</v>
      </c>
      <c r="L28" s="41">
        <f t="shared" si="5"/>
        <v>10369.1142</v>
      </c>
      <c r="M28" s="38">
        <f t="shared" si="5"/>
        <v>5073</v>
      </c>
      <c r="N28" s="39">
        <f t="shared" si="6"/>
        <v>5296.1142</v>
      </c>
    </row>
    <row r="29" spans="1:14" ht="24" x14ac:dyDescent="0.3">
      <c r="A29" s="24" t="s">
        <v>6</v>
      </c>
      <c r="B29" s="36" t="s">
        <v>34</v>
      </c>
      <c r="C29" s="40">
        <f>(0.4*C4)/1000</f>
        <v>2661.2248000000004</v>
      </c>
      <c r="D29" s="38">
        <v>1225</v>
      </c>
      <c r="E29" s="39">
        <f t="shared" si="2"/>
        <v>1436.2248000000004</v>
      </c>
      <c r="F29" s="40">
        <f>(0.4*F4)/1000</f>
        <v>487.988</v>
      </c>
      <c r="G29" s="38">
        <v>40</v>
      </c>
      <c r="H29" s="39">
        <f t="shared" si="3"/>
        <v>447.988</v>
      </c>
      <c r="I29" s="40">
        <f>(0.4*I4)/1000</f>
        <v>1459.2824000000001</v>
      </c>
      <c r="J29" s="38">
        <v>157</v>
      </c>
      <c r="K29" s="39">
        <f t="shared" si="4"/>
        <v>1302.2824000000001</v>
      </c>
      <c r="L29" s="41">
        <f t="shared" si="5"/>
        <v>4608.4952000000003</v>
      </c>
      <c r="M29" s="38">
        <f t="shared" si="5"/>
        <v>1422</v>
      </c>
      <c r="N29" s="39">
        <f t="shared" si="6"/>
        <v>3186.4952000000003</v>
      </c>
    </row>
    <row r="30" spans="1:14" ht="24" x14ac:dyDescent="0.3">
      <c r="A30" s="43" t="s">
        <v>60</v>
      </c>
      <c r="B30" s="36" t="s">
        <v>35</v>
      </c>
      <c r="C30" s="40">
        <f>(0.23*C4)/1000</f>
        <v>1530.20426</v>
      </c>
      <c r="D30" s="38">
        <v>1422</v>
      </c>
      <c r="E30" s="39">
        <f>(ABS(C30-D30))-D31</f>
        <v>35.204259999999977</v>
      </c>
      <c r="F30" s="40">
        <f>(0.23*F4)/1000</f>
        <v>280.59310000000005</v>
      </c>
      <c r="G30" s="38">
        <v>127</v>
      </c>
      <c r="H30" s="39">
        <f t="shared" si="3"/>
        <v>153.59310000000005</v>
      </c>
      <c r="I30" s="40">
        <f>(0.23*I4)/1000</f>
        <v>839.08738000000005</v>
      </c>
      <c r="J30" s="38">
        <v>502</v>
      </c>
      <c r="K30" s="39">
        <f t="shared" si="4"/>
        <v>337.08738000000005</v>
      </c>
      <c r="L30" s="41">
        <f>SUM(C30,F30,I30)</f>
        <v>2649.88474</v>
      </c>
      <c r="M30" s="38">
        <f>(SUM(D30,G30,J30))+D31</f>
        <v>2124</v>
      </c>
      <c r="N30" s="39">
        <f t="shared" si="6"/>
        <v>525.88473999999997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36</v>
      </c>
      <c r="B32" s="36" t="s">
        <v>37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>SUM(D32,G32,J32)</f>
        <v>64</v>
      </c>
      <c r="N32" s="47"/>
    </row>
    <row r="33" spans="1:14" ht="24" x14ac:dyDescent="0.3">
      <c r="A33" s="36" t="s">
        <v>38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>SUM(D33,G33,J33)</f>
        <v>509</v>
      </c>
      <c r="N33" s="47"/>
    </row>
    <row r="34" spans="1:14" ht="24.6" customHeight="1" x14ac:dyDescent="0.3">
      <c r="A34" s="85" t="s">
        <v>52</v>
      </c>
      <c r="B34" s="86"/>
      <c r="C34" s="40"/>
      <c r="D34" s="50">
        <f>SUM(D22:D33)</f>
        <v>12649</v>
      </c>
      <c r="E34" s="51"/>
      <c r="F34" s="40"/>
      <c r="G34" s="50">
        <f>SUM(G22:G33)</f>
        <v>1740</v>
      </c>
      <c r="H34" s="39"/>
      <c r="I34" s="40"/>
      <c r="J34" s="27">
        <f>SUM(J22:J33)</f>
        <v>5646</v>
      </c>
      <c r="K34" s="39"/>
      <c r="L34" s="41"/>
      <c r="M34" s="50">
        <f>SUM(D34,G34,J34)</f>
        <v>20035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F36" s="4"/>
    </row>
    <row r="37" spans="1:14" x14ac:dyDescent="0.3">
      <c r="A37" s="14" t="s">
        <v>7</v>
      </c>
      <c r="B37" s="1"/>
    </row>
    <row r="38" spans="1:14" x14ac:dyDescent="0.3">
      <c r="A38" s="14" t="s">
        <v>53</v>
      </c>
      <c r="B38" s="1"/>
    </row>
    <row r="39" spans="1:14" x14ac:dyDescent="0.3">
      <c r="A39" s="14"/>
      <c r="B39" s="1"/>
    </row>
    <row r="40" spans="1:14" x14ac:dyDescent="0.3">
      <c r="A40" s="15" t="s">
        <v>8</v>
      </c>
      <c r="B40" s="16"/>
      <c r="C40" s="17"/>
      <c r="D40" s="17"/>
    </row>
    <row r="42" spans="1:14" x14ac:dyDescent="0.3">
      <c r="A42" s="78" t="s">
        <v>65</v>
      </c>
      <c r="B42" s="79"/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5 H22:H35 E22:E35">
    <cfRule type="expression" dxfId="8" priority="10" stopIfTrue="1">
      <formula>(C10-D10)&lt;0</formula>
    </cfRule>
  </conditionalFormatting>
  <conditionalFormatting sqref="E10:E18 K10:K18 H10:H20 K22:K35 H22:H35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7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2021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2020-10-15T13:24:18Z</cp:lastPrinted>
  <dcterms:created xsi:type="dcterms:W3CDTF">2020-01-02T11:06:11Z</dcterms:created>
  <dcterms:modified xsi:type="dcterms:W3CDTF">2021-06-17T09:24:22Z</dcterms:modified>
</cp:coreProperties>
</file>